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65326" windowWidth="9375" windowHeight="9120" activeTab="0"/>
  </bookViews>
  <sheets>
    <sheet name="MYH(monthwise)-14" sheetId="1" r:id="rId1"/>
    <sheet name="JAN TO DEC(annual)-14" sheetId="2" r:id="rId2"/>
  </sheets>
  <definedNames/>
  <calcPr fullCalcOnLoad="1"/>
</workbook>
</file>

<file path=xl/sharedStrings.xml><?xml version="1.0" encoding="utf-8"?>
<sst xmlns="http://schemas.openxmlformats.org/spreadsheetml/2006/main" count="113" uniqueCount="85">
  <si>
    <t>S.NO.</t>
  </si>
  <si>
    <t>PARTICULAR</t>
  </si>
  <si>
    <t>TOTAL</t>
  </si>
  <si>
    <t>TOTAL O. P. D. (New &amp; Old)</t>
  </si>
  <si>
    <t xml:space="preserve">DAILY AVERAGE  O. P. D. </t>
  </si>
  <si>
    <t>I. P. D.</t>
  </si>
  <si>
    <t xml:space="preserve">X-RAY </t>
  </si>
  <si>
    <t>SONOGRAPHY</t>
  </si>
  <si>
    <t>C. T. SCAN</t>
  </si>
  <si>
    <t>M. R. I.</t>
  </si>
  <si>
    <t>TOTAL DELIVERIES</t>
  </si>
  <si>
    <t>TOTAL O. P. D.</t>
  </si>
  <si>
    <t>DEATHS</t>
  </si>
  <si>
    <t>BED OCCUPANCY RATIO</t>
  </si>
  <si>
    <t>CHEMOTHERAPY</t>
  </si>
  <si>
    <t>RADIOTHERAPY</t>
  </si>
  <si>
    <t>STILL BIRTH</t>
  </si>
  <si>
    <t>MAJOR</t>
  </si>
  <si>
    <t>MINOR</t>
  </si>
  <si>
    <t>TOTAL OPERATIONS</t>
  </si>
  <si>
    <t>INVESTIGATIONS</t>
  </si>
  <si>
    <t>1.O.P.D. (NEW)</t>
  </si>
  <si>
    <t>2.O.P.D. (OLD)</t>
  </si>
  <si>
    <t>a</t>
  </si>
  <si>
    <t>b</t>
  </si>
  <si>
    <t>c</t>
  </si>
  <si>
    <t>d</t>
  </si>
  <si>
    <t>PATHOLOGY</t>
  </si>
  <si>
    <t xml:space="preserve">BLOOD BANK </t>
  </si>
  <si>
    <t>BIOCHEMISTRY</t>
  </si>
  <si>
    <t xml:space="preserve">MICROBIOLOGY </t>
  </si>
  <si>
    <t>e</t>
  </si>
  <si>
    <t>f</t>
  </si>
  <si>
    <t>g</t>
  </si>
  <si>
    <t>NORMAL</t>
  </si>
  <si>
    <t>ABNORMAL</t>
  </si>
  <si>
    <t>DEATH</t>
  </si>
  <si>
    <t xml:space="preserve"> </t>
  </si>
  <si>
    <t>CASUALITY ATTENDANCE</t>
  </si>
  <si>
    <t>Average Perday</t>
  </si>
  <si>
    <t>Perday Average</t>
  </si>
  <si>
    <t>RADIOLOGY &amp; C T SCAN-M R I</t>
  </si>
  <si>
    <t>TOTA INVESTIGATION</t>
  </si>
  <si>
    <t>TOTAL DELIVERY</t>
  </si>
  <si>
    <t xml:space="preserve">TOTAL OPERATION              </t>
  </si>
  <si>
    <t>M Y H HOSPITAL, INDORE</t>
  </si>
  <si>
    <t>MAR</t>
  </si>
  <si>
    <t>APR</t>
  </si>
  <si>
    <t>MAY</t>
  </si>
  <si>
    <t>OCT</t>
  </si>
  <si>
    <t>NOV</t>
  </si>
  <si>
    <t>I-PATHOLOGY</t>
  </si>
  <si>
    <t xml:space="preserve">II-BLOOD BANK  </t>
  </si>
  <si>
    <t>III- BIOCHEMISTRY</t>
  </si>
  <si>
    <t xml:space="preserve">IV- MICROBIOLOGY </t>
  </si>
  <si>
    <t xml:space="preserve">I-X-RAY </t>
  </si>
  <si>
    <t>II-SONOGRAPHY</t>
  </si>
  <si>
    <t>III-SPECIAL INVESTIGATION</t>
  </si>
  <si>
    <t>IV-C. T. SCAN</t>
  </si>
  <si>
    <t>V-M. R. I.</t>
  </si>
  <si>
    <t>I-NORMAL</t>
  </si>
  <si>
    <t>II-ABNORMAL</t>
  </si>
  <si>
    <t>I-MAJOR OPERATION</t>
  </si>
  <si>
    <t>II-MINOR OPERATION</t>
  </si>
  <si>
    <t>MLC/PRE MLC</t>
  </si>
  <si>
    <t xml:space="preserve">INVESTIGATION </t>
  </si>
  <si>
    <t>OTHER INVESTIGATION</t>
  </si>
  <si>
    <t>OPD/IPD MALE</t>
  </si>
  <si>
    <t>OPD/IPD FEMALE</t>
  </si>
  <si>
    <t>I-MLC</t>
  </si>
  <si>
    <t>II-PRE MLC</t>
  </si>
  <si>
    <t>YEAR - 2014</t>
  </si>
  <si>
    <t>JUNE</t>
  </si>
  <si>
    <t xml:space="preserve">JAN. </t>
  </si>
  <si>
    <t xml:space="preserve">FEB </t>
  </si>
  <si>
    <t>M-11/F-04(15)</t>
  </si>
  <si>
    <t xml:space="preserve">JULY </t>
  </si>
  <si>
    <t xml:space="preserve">AUG </t>
  </si>
  <si>
    <t>PERDAY AVERAGE</t>
  </si>
  <si>
    <t xml:space="preserve">SEP </t>
  </si>
  <si>
    <t>M-24/F-06(30)</t>
  </si>
  <si>
    <t xml:space="preserve">DEC </t>
  </si>
  <si>
    <t>Male-8852/Female-2218</t>
  </si>
  <si>
    <t>Male-4301/Female-1342</t>
  </si>
  <si>
    <t>YEAR - 2014(Jan. to Dec.)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</si>
</sst>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" fontId="3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30" xfId="0" applyNumberForma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left" vertical="center" wrapText="1"/>
    </xf>
    <xf numFmtId="164" fontId="0" fillId="0" borderId="16" xfId="0" applyNumberFormat="1" applyBorder="1" applyAlignment="1">
      <alignment horizontal="left" vertical="center" wrapText="1"/>
    </xf>
    <xf numFmtId="164" fontId="0" fillId="0" borderId="29" xfId="0" applyNumberFormat="1" applyBorder="1" applyAlignment="1">
      <alignment horizontal="left" vertical="center" wrapText="1"/>
    </xf>
    <xf numFmtId="164" fontId="0" fillId="0" borderId="22" xfId="0" applyNumberFormat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left" vertical="center" wrapText="1"/>
    </xf>
    <xf numFmtId="164" fontId="0" fillId="0" borderId="17" xfId="0" applyNumberFormat="1" applyBorder="1" applyAlignment="1">
      <alignment horizontal="left" vertical="center" wrapText="1"/>
    </xf>
    <xf numFmtId="1" fontId="0" fillId="0" borderId="29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left" vertical="center" wrapText="1"/>
    </xf>
    <xf numFmtId="164" fontId="0" fillId="0" borderId="31" xfId="0" applyNumberFormat="1" applyBorder="1" applyAlignment="1">
      <alignment horizontal="left" vertical="center" wrapText="1"/>
    </xf>
    <xf numFmtId="164" fontId="3" fillId="0" borderId="32" xfId="0" applyNumberFormat="1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32" xfId="0" applyNumberForma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1" fontId="0" fillId="0" borderId="39" xfId="0" applyNumberForma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1" fontId="0" fillId="0" borderId="40" xfId="0" applyNumberForma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left" vertical="center" wrapText="1"/>
    </xf>
    <xf numFmtId="1" fontId="3" fillId="0" borderId="3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 applyAlignment="1">
      <alignment vertical="center" wrapText="1"/>
    </xf>
    <xf numFmtId="1" fontId="3" fillId="0" borderId="44" xfId="0" applyNumberFormat="1" applyFont="1" applyBorder="1" applyAlignment="1">
      <alignment vertical="center" wrapText="1"/>
    </xf>
    <xf numFmtId="1" fontId="0" fillId="0" borderId="45" xfId="0" applyNumberFormat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 vertical="center"/>
    </xf>
    <xf numFmtId="1" fontId="0" fillId="0" borderId="46" xfId="0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1" fontId="0" fillId="0" borderId="47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1" fontId="0" fillId="0" borderId="48" xfId="0" applyNumberFormat="1" applyFont="1" applyBorder="1" applyAlignment="1">
      <alignment horizontal="center" vertical="center"/>
    </xf>
    <xf numFmtId="37" fontId="0" fillId="0" borderId="29" xfId="42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0" fillId="0" borderId="5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1" fontId="3" fillId="0" borderId="5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1" fontId="0" fillId="0" borderId="34" xfId="0" applyNumberForma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9.140625" defaultRowHeight="12.75"/>
  <cols>
    <col min="1" max="1" width="4.421875" style="1" bestFit="1" customWidth="1"/>
    <col min="2" max="2" width="2.8515625" style="1" bestFit="1" customWidth="1"/>
    <col min="3" max="3" width="24.8515625" style="15" bestFit="1" customWidth="1"/>
    <col min="4" max="4" width="6.00390625" style="6" bestFit="1" customWidth="1"/>
    <col min="5" max="14" width="7.00390625" style="6" bestFit="1" customWidth="1"/>
    <col min="15" max="15" width="7.00390625" style="6" customWidth="1"/>
    <col min="16" max="16" width="8.00390625" style="6" bestFit="1" customWidth="1"/>
    <col min="17" max="17" width="9.8515625" style="7" bestFit="1" customWidth="1"/>
  </cols>
  <sheetData>
    <row r="1" spans="1:17" s="11" customFormat="1" ht="15" customHeight="1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s="12" customFormat="1" ht="15" customHeight="1" thickBot="1">
      <c r="A2" s="111" t="s">
        <v>71</v>
      </c>
      <c r="B2" s="111"/>
      <c r="C2" s="111"/>
      <c r="D2" s="111"/>
      <c r="E2" s="111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1"/>
      <c r="Q2" s="111"/>
    </row>
    <row r="3" spans="1:17" s="8" customFormat="1" ht="26.25" thickBot="1">
      <c r="A3" s="108" t="s">
        <v>0</v>
      </c>
      <c r="B3" s="109"/>
      <c r="C3" s="24" t="s">
        <v>1</v>
      </c>
      <c r="D3" s="56" t="s">
        <v>73</v>
      </c>
      <c r="E3" s="56" t="s">
        <v>74</v>
      </c>
      <c r="F3" s="65" t="s">
        <v>46</v>
      </c>
      <c r="G3" s="56" t="s">
        <v>47</v>
      </c>
      <c r="H3" s="56" t="s">
        <v>48</v>
      </c>
      <c r="I3" s="56" t="s">
        <v>72</v>
      </c>
      <c r="J3" s="56" t="s">
        <v>76</v>
      </c>
      <c r="K3" s="56" t="s">
        <v>77</v>
      </c>
      <c r="L3" s="56" t="s">
        <v>79</v>
      </c>
      <c r="M3" s="56" t="s">
        <v>49</v>
      </c>
      <c r="N3" s="56" t="s">
        <v>50</v>
      </c>
      <c r="O3" s="56" t="s">
        <v>81</v>
      </c>
      <c r="P3" s="59" t="s">
        <v>2</v>
      </c>
      <c r="Q3" s="26" t="s">
        <v>78</v>
      </c>
    </row>
    <row r="4" spans="1:17" s="8" customFormat="1" ht="15" customHeight="1">
      <c r="A4" s="16">
        <v>1</v>
      </c>
      <c r="B4" s="27"/>
      <c r="C4" s="28" t="s">
        <v>11</v>
      </c>
      <c r="D4" s="20">
        <v>43041</v>
      </c>
      <c r="E4" s="20">
        <v>41839</v>
      </c>
      <c r="F4" s="96">
        <v>43468</v>
      </c>
      <c r="G4" s="20">
        <v>40782</v>
      </c>
      <c r="H4" s="18">
        <f>SUM(H5:H6)</f>
        <v>42833</v>
      </c>
      <c r="I4" s="20">
        <f>SUM(I5:I6)</f>
        <v>44146</v>
      </c>
      <c r="J4" s="18">
        <v>42021</v>
      </c>
      <c r="K4" s="18">
        <v>44076</v>
      </c>
      <c r="L4" s="18">
        <v>49091</v>
      </c>
      <c r="M4" s="18">
        <v>42501</v>
      </c>
      <c r="N4" s="18">
        <v>51606</v>
      </c>
      <c r="O4" s="18">
        <v>46764</v>
      </c>
      <c r="P4" s="20">
        <f aca="true" t="shared" si="0" ref="P4:P17">SUM(D4:O4)</f>
        <v>532168</v>
      </c>
      <c r="Q4" s="60">
        <f>P4/365</f>
        <v>1457.9945205479453</v>
      </c>
    </row>
    <row r="5" spans="1:17" s="11" customFormat="1" ht="15" customHeight="1">
      <c r="A5" s="9"/>
      <c r="B5" s="29" t="s">
        <v>23</v>
      </c>
      <c r="C5" s="17" t="s">
        <v>21</v>
      </c>
      <c r="D5" s="21">
        <v>29012</v>
      </c>
      <c r="E5" s="21">
        <v>28774</v>
      </c>
      <c r="F5" s="97">
        <v>30045</v>
      </c>
      <c r="G5" s="91">
        <v>27786</v>
      </c>
      <c r="H5" s="88">
        <v>28974</v>
      </c>
      <c r="I5" s="91">
        <v>31502</v>
      </c>
      <c r="J5" s="88">
        <v>29404</v>
      </c>
      <c r="K5" s="88">
        <v>30556</v>
      </c>
      <c r="L5" s="88">
        <v>33874</v>
      </c>
      <c r="M5" s="88">
        <v>28473</v>
      </c>
      <c r="N5" s="88">
        <v>33408</v>
      </c>
      <c r="O5" s="88">
        <v>31089</v>
      </c>
      <c r="P5" s="21">
        <f t="shared" si="0"/>
        <v>362897</v>
      </c>
      <c r="Q5" s="62">
        <f>P5/365</f>
        <v>994.2383561643836</v>
      </c>
    </row>
    <row r="6" spans="1:17" s="11" customFormat="1" ht="15" customHeight="1" thickBot="1">
      <c r="A6" s="10"/>
      <c r="B6" s="30" t="s">
        <v>24</v>
      </c>
      <c r="C6" s="31" t="s">
        <v>22</v>
      </c>
      <c r="D6" s="52">
        <f>43041-D5</f>
        <v>14029</v>
      </c>
      <c r="E6" s="52">
        <f>41839-E5</f>
        <v>13065</v>
      </c>
      <c r="F6" s="98">
        <f>F4-F5</f>
        <v>13423</v>
      </c>
      <c r="G6" s="87">
        <f>G4-G5</f>
        <v>12996</v>
      </c>
      <c r="H6" s="89">
        <f>42833-H5</f>
        <v>13859</v>
      </c>
      <c r="I6" s="92">
        <f>44146-I5</f>
        <v>12644</v>
      </c>
      <c r="J6" s="89">
        <f aca="true" t="shared" si="1" ref="J6:O6">J4-J5</f>
        <v>12617</v>
      </c>
      <c r="K6" s="100">
        <f t="shared" si="1"/>
        <v>13520</v>
      </c>
      <c r="L6" s="100">
        <f t="shared" si="1"/>
        <v>15217</v>
      </c>
      <c r="M6" s="100">
        <f t="shared" si="1"/>
        <v>14028</v>
      </c>
      <c r="N6" s="100">
        <f t="shared" si="1"/>
        <v>18198</v>
      </c>
      <c r="O6" s="100">
        <f t="shared" si="1"/>
        <v>15675</v>
      </c>
      <c r="P6" s="21">
        <f t="shared" si="0"/>
        <v>169271</v>
      </c>
      <c r="Q6" s="62">
        <f>P6/365</f>
        <v>463.75616438356167</v>
      </c>
    </row>
    <row r="7" spans="1:17" s="11" customFormat="1" ht="15" customHeight="1" thickBot="1">
      <c r="A7" s="22">
        <v>2</v>
      </c>
      <c r="B7" s="23"/>
      <c r="C7" s="24" t="s">
        <v>4</v>
      </c>
      <c r="D7" s="59">
        <f>D4/31</f>
        <v>1388.4193548387098</v>
      </c>
      <c r="E7" s="59">
        <f>E4/28</f>
        <v>1494.25</v>
      </c>
      <c r="F7" s="99">
        <f>F4/31</f>
        <v>1402.1935483870968</v>
      </c>
      <c r="G7" s="59">
        <f>G4/30</f>
        <v>1359.4</v>
      </c>
      <c r="H7" s="25">
        <f>H4/31</f>
        <v>1381.7096774193549</v>
      </c>
      <c r="I7" s="59">
        <f>I4/30</f>
        <v>1471.5333333333333</v>
      </c>
      <c r="J7" s="25">
        <f>J4/31</f>
        <v>1355.516129032258</v>
      </c>
      <c r="K7" s="25">
        <f>K4/31</f>
        <v>1421.8064516129032</v>
      </c>
      <c r="L7" s="25">
        <f>L4/30</f>
        <v>1636.3666666666666</v>
      </c>
      <c r="M7" s="25">
        <f>M4/31</f>
        <v>1371</v>
      </c>
      <c r="N7" s="25">
        <f>N4/30</f>
        <v>1720.2</v>
      </c>
      <c r="O7" s="25">
        <f>O4/31</f>
        <v>1508.516129032258</v>
      </c>
      <c r="P7" s="59">
        <f t="shared" si="0"/>
        <v>17510.911290322583</v>
      </c>
      <c r="Q7" s="94">
        <f>Q4</f>
        <v>1457.9945205479453</v>
      </c>
    </row>
    <row r="8" spans="1:17" s="11" customFormat="1" ht="15" customHeight="1" thickBot="1">
      <c r="A8" s="22">
        <v>3</v>
      </c>
      <c r="B8" s="23"/>
      <c r="C8" s="24" t="s">
        <v>5</v>
      </c>
      <c r="D8" s="59">
        <v>6418</v>
      </c>
      <c r="E8" s="59">
        <v>6075</v>
      </c>
      <c r="F8" s="99">
        <v>6448</v>
      </c>
      <c r="G8" s="86">
        <v>6314</v>
      </c>
      <c r="H8" s="25">
        <v>6520</v>
      </c>
      <c r="I8" s="59">
        <v>6663</v>
      </c>
      <c r="J8" s="25">
        <v>6765</v>
      </c>
      <c r="K8" s="25">
        <v>7060</v>
      </c>
      <c r="L8" s="25">
        <v>7444</v>
      </c>
      <c r="M8" s="25">
        <v>7254</v>
      </c>
      <c r="N8" s="25">
        <v>7224</v>
      </c>
      <c r="O8" s="25">
        <v>6424</v>
      </c>
      <c r="P8" s="59">
        <f t="shared" si="0"/>
        <v>80609</v>
      </c>
      <c r="Q8" s="94">
        <f>P8/365</f>
        <v>220.84657534246574</v>
      </c>
    </row>
    <row r="9" spans="1:17" s="11" customFormat="1" ht="15" customHeight="1" thickBot="1">
      <c r="A9" s="22">
        <v>4</v>
      </c>
      <c r="B9" s="23"/>
      <c r="C9" s="24" t="s">
        <v>12</v>
      </c>
      <c r="D9" s="59">
        <v>192</v>
      </c>
      <c r="E9" s="59">
        <v>196</v>
      </c>
      <c r="F9" s="99">
        <v>193</v>
      </c>
      <c r="G9" s="59">
        <v>224</v>
      </c>
      <c r="H9" s="25">
        <v>231</v>
      </c>
      <c r="I9" s="59">
        <v>209</v>
      </c>
      <c r="J9" s="25">
        <v>215</v>
      </c>
      <c r="K9" s="25">
        <v>294</v>
      </c>
      <c r="L9" s="25">
        <v>258</v>
      </c>
      <c r="M9" s="25">
        <v>251</v>
      </c>
      <c r="N9" s="25">
        <v>218</v>
      </c>
      <c r="O9" s="25">
        <v>245</v>
      </c>
      <c r="P9" s="59">
        <f t="shared" si="0"/>
        <v>2726</v>
      </c>
      <c r="Q9" s="94">
        <f>P9/365</f>
        <v>7.468493150684932</v>
      </c>
    </row>
    <row r="10" spans="1:17" s="11" customFormat="1" ht="15" customHeight="1" thickBot="1">
      <c r="A10" s="22">
        <v>5</v>
      </c>
      <c r="B10" s="23"/>
      <c r="C10" s="24" t="s">
        <v>13</v>
      </c>
      <c r="D10" s="59">
        <v>120</v>
      </c>
      <c r="E10" s="59">
        <v>128</v>
      </c>
      <c r="F10" s="94">
        <v>123</v>
      </c>
      <c r="G10" s="25">
        <v>120</v>
      </c>
      <c r="H10" s="25">
        <v>121</v>
      </c>
      <c r="I10" s="25">
        <v>128</v>
      </c>
      <c r="J10" s="25">
        <v>126</v>
      </c>
      <c r="K10" s="25">
        <v>132</v>
      </c>
      <c r="L10" s="25">
        <v>140</v>
      </c>
      <c r="M10" s="25">
        <v>130</v>
      </c>
      <c r="N10" s="25">
        <v>135</v>
      </c>
      <c r="O10" s="25">
        <v>118</v>
      </c>
      <c r="P10" s="59">
        <f t="shared" si="0"/>
        <v>1521</v>
      </c>
      <c r="Q10" s="94">
        <f>P10/12</f>
        <v>126.75</v>
      </c>
    </row>
    <row r="11" spans="1:17" s="13" customFormat="1" ht="15" customHeight="1">
      <c r="A11" s="16">
        <v>6</v>
      </c>
      <c r="B11" s="32"/>
      <c r="C11" s="28" t="s">
        <v>20</v>
      </c>
      <c r="D11" s="20">
        <f>D12+D13+D14+D15</f>
        <v>98986</v>
      </c>
      <c r="E11" s="20">
        <f aca="true" t="shared" si="2" ref="E11:K11">SUM(E12:E15)</f>
        <v>105060</v>
      </c>
      <c r="F11" s="96">
        <f t="shared" si="2"/>
        <v>121906</v>
      </c>
      <c r="G11" s="57">
        <f t="shared" si="2"/>
        <v>110797</v>
      </c>
      <c r="H11" s="18">
        <f t="shared" si="2"/>
        <v>113540</v>
      </c>
      <c r="I11" s="20">
        <f t="shared" si="2"/>
        <v>118185</v>
      </c>
      <c r="J11" s="18">
        <f t="shared" si="2"/>
        <v>127046</v>
      </c>
      <c r="K11" s="18">
        <f t="shared" si="2"/>
        <v>130931</v>
      </c>
      <c r="L11" s="18">
        <f>SUM(L12:L15)</f>
        <v>142509</v>
      </c>
      <c r="M11" s="18">
        <f>SUM(M12:M15)</f>
        <v>127116</v>
      </c>
      <c r="N11" s="18">
        <f>SUM(N12:N15)</f>
        <v>133485</v>
      </c>
      <c r="O11" s="18">
        <f>SUM(O12:O15)</f>
        <v>142427</v>
      </c>
      <c r="P11" s="20">
        <f t="shared" si="0"/>
        <v>1471988</v>
      </c>
      <c r="Q11" s="60">
        <f aca="true" t="shared" si="3" ref="Q11:Q17">P11/365</f>
        <v>4032.8438356164384</v>
      </c>
    </row>
    <row r="12" spans="1:17" s="8" customFormat="1" ht="13.5" customHeight="1">
      <c r="A12" s="9"/>
      <c r="B12" s="29" t="s">
        <v>23</v>
      </c>
      <c r="C12" s="17" t="s">
        <v>27</v>
      </c>
      <c r="D12" s="21">
        <f>41203+145</f>
        <v>41348</v>
      </c>
      <c r="E12" s="21">
        <f>37807+171</f>
        <v>37978</v>
      </c>
      <c r="F12" s="97">
        <f>271+40507+2190+1517+418+222</f>
        <v>45125</v>
      </c>
      <c r="G12" s="91">
        <v>39876</v>
      </c>
      <c r="H12" s="88">
        <v>40546</v>
      </c>
      <c r="I12" s="91">
        <v>39934</v>
      </c>
      <c r="J12" s="88">
        <v>47183</v>
      </c>
      <c r="K12" s="88">
        <v>49225</v>
      </c>
      <c r="L12" s="88">
        <v>53855</v>
      </c>
      <c r="M12" s="88">
        <v>49331</v>
      </c>
      <c r="N12" s="88">
        <v>49365</v>
      </c>
      <c r="O12" s="88">
        <v>50742</v>
      </c>
      <c r="P12" s="21">
        <f t="shared" si="0"/>
        <v>544508</v>
      </c>
      <c r="Q12" s="62">
        <f t="shared" si="3"/>
        <v>1491.8027397260273</v>
      </c>
    </row>
    <row r="13" spans="1:17" s="11" customFormat="1" ht="15" customHeight="1">
      <c r="A13" s="9"/>
      <c r="B13" s="29" t="s">
        <v>24</v>
      </c>
      <c r="C13" s="17" t="s">
        <v>28</v>
      </c>
      <c r="D13" s="21">
        <v>12065</v>
      </c>
      <c r="E13" s="21">
        <v>10709</v>
      </c>
      <c r="F13" s="97">
        <v>12675</v>
      </c>
      <c r="G13" s="91">
        <v>9555</v>
      </c>
      <c r="H13" s="88">
        <v>9715</v>
      </c>
      <c r="I13" s="91">
        <v>12574</v>
      </c>
      <c r="J13" s="88">
        <v>11319</v>
      </c>
      <c r="K13" s="88">
        <v>12970</v>
      </c>
      <c r="L13" s="88">
        <v>12268</v>
      </c>
      <c r="M13" s="88">
        <v>11348</v>
      </c>
      <c r="N13" s="88">
        <v>14420</v>
      </c>
      <c r="O13" s="88">
        <v>10204</v>
      </c>
      <c r="P13" s="21">
        <f t="shared" si="0"/>
        <v>139822</v>
      </c>
      <c r="Q13" s="62">
        <f t="shared" si="3"/>
        <v>383.07397260273973</v>
      </c>
    </row>
    <row r="14" spans="1:17" s="11" customFormat="1" ht="14.25" customHeight="1">
      <c r="A14" s="9"/>
      <c r="B14" s="29" t="s">
        <v>25</v>
      </c>
      <c r="C14" s="17" t="s">
        <v>29</v>
      </c>
      <c r="D14" s="21">
        <v>39622</v>
      </c>
      <c r="E14" s="21">
        <v>47916</v>
      </c>
      <c r="F14" s="97">
        <v>57143</v>
      </c>
      <c r="G14" s="91">
        <v>54307</v>
      </c>
      <c r="H14" s="88">
        <v>57043</v>
      </c>
      <c r="I14" s="88">
        <v>57124</v>
      </c>
      <c r="J14" s="88">
        <f>38244+22067</f>
        <v>60311</v>
      </c>
      <c r="K14" s="88">
        <v>61574</v>
      </c>
      <c r="L14" s="88">
        <v>66443</v>
      </c>
      <c r="M14" s="88">
        <v>58725</v>
      </c>
      <c r="N14" s="88">
        <v>61100</v>
      </c>
      <c r="O14" s="88">
        <v>72651</v>
      </c>
      <c r="P14" s="21">
        <f t="shared" si="0"/>
        <v>693959</v>
      </c>
      <c r="Q14" s="62">
        <f t="shared" si="3"/>
        <v>1901.2575342465752</v>
      </c>
    </row>
    <row r="15" spans="1:17" s="11" customFormat="1" ht="15" customHeight="1" thickBot="1">
      <c r="A15" s="10"/>
      <c r="B15" s="30" t="s">
        <v>26</v>
      </c>
      <c r="C15" s="31" t="s">
        <v>30</v>
      </c>
      <c r="D15" s="52">
        <v>5951</v>
      </c>
      <c r="E15" s="52">
        <v>8457</v>
      </c>
      <c r="F15" s="98">
        <v>6963</v>
      </c>
      <c r="G15" s="87">
        <v>7059</v>
      </c>
      <c r="H15" s="89">
        <v>6236</v>
      </c>
      <c r="I15" s="92">
        <v>8553</v>
      </c>
      <c r="J15" s="89">
        <v>8233</v>
      </c>
      <c r="K15" s="100">
        <v>7162</v>
      </c>
      <c r="L15" s="100">
        <v>9943</v>
      </c>
      <c r="M15" s="100">
        <v>7712</v>
      </c>
      <c r="N15" s="100">
        <v>8600</v>
      </c>
      <c r="O15" s="100">
        <v>8830</v>
      </c>
      <c r="P15" s="21">
        <f t="shared" si="0"/>
        <v>93699</v>
      </c>
      <c r="Q15" s="62">
        <f t="shared" si="3"/>
        <v>256.7095890410959</v>
      </c>
    </row>
    <row r="16" spans="1:17" s="8" customFormat="1" ht="15" customHeight="1">
      <c r="A16" s="16">
        <v>7</v>
      </c>
      <c r="B16" s="32"/>
      <c r="C16" s="58" t="s">
        <v>65</v>
      </c>
      <c r="D16" s="20">
        <f>D17+D18+D19+D20+D21+D22+D23</f>
        <v>13278</v>
      </c>
      <c r="E16" s="20">
        <f aca="true" t="shared" si="4" ref="E16:K16">SUM(E17:E23)</f>
        <v>15731</v>
      </c>
      <c r="F16" s="96">
        <f t="shared" si="4"/>
        <v>17969</v>
      </c>
      <c r="G16" s="20">
        <f t="shared" si="4"/>
        <v>16747</v>
      </c>
      <c r="H16" s="18">
        <f t="shared" si="4"/>
        <v>16017</v>
      </c>
      <c r="I16" s="20">
        <f t="shared" si="4"/>
        <v>19709</v>
      </c>
      <c r="J16" s="18">
        <f t="shared" si="4"/>
        <v>16376</v>
      </c>
      <c r="K16" s="18">
        <f t="shared" si="4"/>
        <v>16237</v>
      </c>
      <c r="L16" s="18">
        <f>SUM(L17:L23)</f>
        <v>17335</v>
      </c>
      <c r="M16" s="18">
        <f>SUM(M17:M23)</f>
        <v>15011</v>
      </c>
      <c r="N16" s="18">
        <f>SUM(N17:N23)</f>
        <v>15888</v>
      </c>
      <c r="O16" s="18">
        <f>SUM(O17:O23)</f>
        <v>16031</v>
      </c>
      <c r="P16" s="20">
        <f t="shared" si="0"/>
        <v>196329</v>
      </c>
      <c r="Q16" s="20">
        <f t="shared" si="3"/>
        <v>537.8876712328768</v>
      </c>
    </row>
    <row r="17" spans="1:17" s="11" customFormat="1" ht="15" customHeight="1">
      <c r="A17" s="9"/>
      <c r="B17" s="29" t="s">
        <v>23</v>
      </c>
      <c r="C17" s="17" t="s">
        <v>6</v>
      </c>
      <c r="D17" s="21">
        <v>6200</v>
      </c>
      <c r="E17" s="21">
        <v>6391</v>
      </c>
      <c r="F17" s="62">
        <v>7105</v>
      </c>
      <c r="G17" s="88">
        <v>5725</v>
      </c>
      <c r="H17" s="88">
        <v>6604</v>
      </c>
      <c r="I17" s="88">
        <v>8420</v>
      </c>
      <c r="J17" s="88">
        <v>6704</v>
      </c>
      <c r="K17" s="88">
        <v>6816</v>
      </c>
      <c r="L17" s="88">
        <v>7177</v>
      </c>
      <c r="M17" s="88">
        <v>6366</v>
      </c>
      <c r="N17" s="88">
        <v>6269</v>
      </c>
      <c r="O17" s="88">
        <v>6472</v>
      </c>
      <c r="P17" s="61">
        <f t="shared" si="0"/>
        <v>80249</v>
      </c>
      <c r="Q17" s="21">
        <f t="shared" si="3"/>
        <v>219.86027397260273</v>
      </c>
    </row>
    <row r="18" spans="1:17" s="11" customFormat="1" ht="15" customHeight="1">
      <c r="A18" s="9"/>
      <c r="B18" s="29" t="s">
        <v>24</v>
      </c>
      <c r="C18" s="17" t="s">
        <v>7</v>
      </c>
      <c r="D18" s="21">
        <v>4302</v>
      </c>
      <c r="E18" s="21">
        <v>3986</v>
      </c>
      <c r="F18" s="95">
        <v>4270</v>
      </c>
      <c r="G18" s="90">
        <v>4401</v>
      </c>
      <c r="H18" s="90">
        <v>4334</v>
      </c>
      <c r="I18" s="90">
        <v>4853</v>
      </c>
      <c r="J18" s="90">
        <v>4979</v>
      </c>
      <c r="K18" s="90">
        <v>4977</v>
      </c>
      <c r="L18" s="90">
        <v>5253</v>
      </c>
      <c r="M18" s="90">
        <v>4136</v>
      </c>
      <c r="N18" s="90">
        <v>4722</v>
      </c>
      <c r="O18" s="90">
        <v>5022</v>
      </c>
      <c r="P18" s="61">
        <f aca="true" t="shared" si="5" ref="P18:P23">SUM(D18:O18)</f>
        <v>55235</v>
      </c>
      <c r="Q18" s="21">
        <f aca="true" t="shared" si="6" ref="Q18:Q23">P18/365</f>
        <v>151.32876712328766</v>
      </c>
    </row>
    <row r="19" spans="1:17" s="8" customFormat="1" ht="15" customHeight="1">
      <c r="A19" s="9"/>
      <c r="B19" s="29" t="s">
        <v>25</v>
      </c>
      <c r="C19" s="17" t="s">
        <v>66</v>
      </c>
      <c r="D19" s="21">
        <f>164+1080+380</f>
        <v>1624</v>
      </c>
      <c r="E19" s="21">
        <f>305+59+3858</f>
        <v>4222</v>
      </c>
      <c r="F19" s="62">
        <v>5323</v>
      </c>
      <c r="G19" s="88">
        <f>137+3924+1269+96</f>
        <v>5426</v>
      </c>
      <c r="H19" s="88">
        <f>3843+10</f>
        <v>3853</v>
      </c>
      <c r="I19" s="88">
        <f>216+113+197+4543+93</f>
        <v>5162</v>
      </c>
      <c r="J19" s="88">
        <f>74+1524+43+15+64+85+131+1282+14+48+104</f>
        <v>3384</v>
      </c>
      <c r="K19" s="88">
        <f>145+27+1294+1666+17</f>
        <v>3149</v>
      </c>
      <c r="L19" s="88">
        <f>180+1791+3+39+3+8+1481+9+19</f>
        <v>3533</v>
      </c>
      <c r="M19" s="88">
        <f>127+1543+15+44+10+1363+16+143</f>
        <v>3261</v>
      </c>
      <c r="N19" s="88">
        <f>182+32+198+1454+30+1+57+19+1284+19+28+1+126+164</f>
        <v>3595</v>
      </c>
      <c r="O19" s="88">
        <f>65+1566+3+27+71+15+97+1267+23+14+144</f>
        <v>3292</v>
      </c>
      <c r="P19" s="61">
        <f t="shared" si="5"/>
        <v>45824</v>
      </c>
      <c r="Q19" s="21">
        <f t="shared" si="6"/>
        <v>125.54520547945205</v>
      </c>
    </row>
    <row r="20" spans="1:17" s="11" customFormat="1" ht="15" customHeight="1">
      <c r="A20" s="9"/>
      <c r="B20" s="29" t="s">
        <v>26</v>
      </c>
      <c r="C20" s="17" t="s">
        <v>8</v>
      </c>
      <c r="D20" s="21">
        <f>487+291</f>
        <v>778</v>
      </c>
      <c r="E20" s="21">
        <f>481+287</f>
        <v>768</v>
      </c>
      <c r="F20" s="62">
        <f>527+314</f>
        <v>841</v>
      </c>
      <c r="G20" s="88">
        <v>799</v>
      </c>
      <c r="H20" s="88">
        <v>820</v>
      </c>
      <c r="I20" s="88">
        <v>845</v>
      </c>
      <c r="J20" s="88">
        <f>526+331</f>
        <v>857</v>
      </c>
      <c r="K20" s="88">
        <v>855</v>
      </c>
      <c r="L20" s="88">
        <v>884</v>
      </c>
      <c r="M20" s="88">
        <f>497+310</f>
        <v>807</v>
      </c>
      <c r="N20" s="88">
        <v>840</v>
      </c>
      <c r="O20" s="88">
        <v>801</v>
      </c>
      <c r="P20" s="61">
        <f t="shared" si="5"/>
        <v>9895</v>
      </c>
      <c r="Q20" s="21">
        <f t="shared" si="6"/>
        <v>27.10958904109589</v>
      </c>
    </row>
    <row r="21" spans="1:17" s="11" customFormat="1" ht="15" customHeight="1">
      <c r="A21" s="9"/>
      <c r="B21" s="29" t="s">
        <v>31</v>
      </c>
      <c r="C21" s="17" t="s">
        <v>9</v>
      </c>
      <c r="D21" s="21">
        <f>123+251</f>
        <v>374</v>
      </c>
      <c r="E21" s="21">
        <f>121+243</f>
        <v>364</v>
      </c>
      <c r="F21" s="62">
        <f>139+291</f>
        <v>430</v>
      </c>
      <c r="G21" s="88">
        <v>396</v>
      </c>
      <c r="H21" s="88">
        <v>406</v>
      </c>
      <c r="I21" s="88">
        <v>429</v>
      </c>
      <c r="J21" s="88">
        <f>142+310</f>
        <v>452</v>
      </c>
      <c r="K21" s="88">
        <v>440</v>
      </c>
      <c r="L21" s="88">
        <v>488</v>
      </c>
      <c r="M21" s="88">
        <f>143+298</f>
        <v>441</v>
      </c>
      <c r="N21" s="88">
        <v>462</v>
      </c>
      <c r="O21" s="88">
        <v>444</v>
      </c>
      <c r="P21" s="61">
        <f t="shared" si="5"/>
        <v>5126</v>
      </c>
      <c r="Q21" s="21">
        <f t="shared" si="6"/>
        <v>14.043835616438356</v>
      </c>
    </row>
    <row r="22" spans="1:17" s="11" customFormat="1" ht="15" customHeight="1">
      <c r="A22" s="9"/>
      <c r="B22" s="29" t="s">
        <v>32</v>
      </c>
      <c r="C22" s="17" t="s">
        <v>14</v>
      </c>
      <c r="D22" s="21">
        <v>0</v>
      </c>
      <c r="E22" s="21">
        <v>0</v>
      </c>
      <c r="F22" s="62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61">
        <f t="shared" si="5"/>
        <v>0</v>
      </c>
      <c r="Q22" s="21">
        <f t="shared" si="6"/>
        <v>0</v>
      </c>
    </row>
    <row r="23" spans="1:17" s="11" customFormat="1" ht="15" customHeight="1" thickBot="1">
      <c r="A23" s="10"/>
      <c r="B23" s="30" t="s">
        <v>33</v>
      </c>
      <c r="C23" s="31" t="s">
        <v>15</v>
      </c>
      <c r="D23" s="52">
        <v>0</v>
      </c>
      <c r="E23" s="52">
        <v>0</v>
      </c>
      <c r="F23" s="63">
        <v>0</v>
      </c>
      <c r="G23" s="89">
        <v>0</v>
      </c>
      <c r="H23" s="89">
        <v>0</v>
      </c>
      <c r="I23" s="89">
        <v>0</v>
      </c>
      <c r="J23" s="89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61">
        <f t="shared" si="5"/>
        <v>0</v>
      </c>
      <c r="Q23" s="21">
        <f t="shared" si="6"/>
        <v>0</v>
      </c>
    </row>
    <row r="24" spans="1:17" s="11" customFormat="1" ht="15" customHeight="1">
      <c r="A24" s="16">
        <v>8</v>
      </c>
      <c r="B24" s="32"/>
      <c r="C24" s="19" t="s">
        <v>10</v>
      </c>
      <c r="D24" s="20">
        <f>D25+D26</f>
        <v>868</v>
      </c>
      <c r="E24" s="20">
        <f aca="true" t="shared" si="7" ref="E24:K24">SUM(E25:E26)</f>
        <v>837</v>
      </c>
      <c r="F24" s="96">
        <f t="shared" si="7"/>
        <v>919</v>
      </c>
      <c r="G24" s="20">
        <f t="shared" si="7"/>
        <v>849</v>
      </c>
      <c r="H24" s="18">
        <f t="shared" si="7"/>
        <v>900</v>
      </c>
      <c r="I24" s="20">
        <f t="shared" si="7"/>
        <v>926</v>
      </c>
      <c r="J24" s="18">
        <f t="shared" si="7"/>
        <v>958</v>
      </c>
      <c r="K24" s="18">
        <f t="shared" si="7"/>
        <v>1021</v>
      </c>
      <c r="L24" s="18">
        <f>SUM(L25:L26)</f>
        <v>986</v>
      </c>
      <c r="M24" s="18">
        <f>SUM(M25:M26)</f>
        <v>1051</v>
      </c>
      <c r="N24" s="18">
        <f>SUM(N25:N26)</f>
        <v>958</v>
      </c>
      <c r="O24" s="18">
        <f>SUM(O25:O26)</f>
        <v>908</v>
      </c>
      <c r="P24" s="20">
        <f aca="true" t="shared" si="8" ref="P24:P30">SUM(D24:O24)</f>
        <v>11181</v>
      </c>
      <c r="Q24" s="103">
        <f aca="true" t="shared" si="9" ref="Q24:Q30">P24/365</f>
        <v>30.632876712328766</v>
      </c>
    </row>
    <row r="25" spans="1:17" s="11" customFormat="1" ht="15" customHeight="1">
      <c r="A25" s="9"/>
      <c r="B25" s="29" t="s">
        <v>23</v>
      </c>
      <c r="C25" s="17" t="s">
        <v>34</v>
      </c>
      <c r="D25" s="21">
        <v>414</v>
      </c>
      <c r="E25" s="21">
        <v>441</v>
      </c>
      <c r="F25" s="97">
        <v>416</v>
      </c>
      <c r="G25" s="91">
        <v>363</v>
      </c>
      <c r="H25" s="88">
        <v>383</v>
      </c>
      <c r="I25" s="91">
        <v>507</v>
      </c>
      <c r="J25" s="88">
        <v>437</v>
      </c>
      <c r="K25" s="88">
        <v>529</v>
      </c>
      <c r="L25" s="88">
        <v>422</v>
      </c>
      <c r="M25" s="88">
        <v>537</v>
      </c>
      <c r="N25" s="88">
        <v>483</v>
      </c>
      <c r="O25" s="88">
        <v>435</v>
      </c>
      <c r="P25" s="21">
        <f t="shared" si="8"/>
        <v>5367</v>
      </c>
      <c r="Q25" s="62">
        <f t="shared" si="9"/>
        <v>14.704109589041096</v>
      </c>
    </row>
    <row r="26" spans="1:17" s="11" customFormat="1" ht="15" customHeight="1" thickBot="1">
      <c r="A26" s="10"/>
      <c r="B26" s="30" t="s">
        <v>24</v>
      </c>
      <c r="C26" s="31" t="s">
        <v>35</v>
      </c>
      <c r="D26" s="93">
        <v>454</v>
      </c>
      <c r="E26" s="52">
        <v>396</v>
      </c>
      <c r="F26" s="98">
        <v>503</v>
      </c>
      <c r="G26" s="87">
        <v>486</v>
      </c>
      <c r="H26" s="89">
        <v>517</v>
      </c>
      <c r="I26" s="92">
        <v>419</v>
      </c>
      <c r="J26" s="89">
        <v>521</v>
      </c>
      <c r="K26" s="100">
        <v>492</v>
      </c>
      <c r="L26" s="100">
        <v>564</v>
      </c>
      <c r="M26" s="100">
        <v>514</v>
      </c>
      <c r="N26" s="100">
        <v>475</v>
      </c>
      <c r="O26" s="100">
        <v>473</v>
      </c>
      <c r="P26" s="21">
        <f t="shared" si="8"/>
        <v>5814</v>
      </c>
      <c r="Q26" s="62">
        <f t="shared" si="9"/>
        <v>15.92876712328767</v>
      </c>
    </row>
    <row r="27" spans="1:17" s="11" customFormat="1" ht="15" customHeight="1" thickBot="1">
      <c r="A27" s="22">
        <v>9</v>
      </c>
      <c r="B27" s="23"/>
      <c r="C27" s="24" t="s">
        <v>16</v>
      </c>
      <c r="D27" s="59">
        <v>36</v>
      </c>
      <c r="E27" s="59">
        <v>50</v>
      </c>
      <c r="F27" s="99">
        <v>44</v>
      </c>
      <c r="G27" s="59">
        <f>26+23</f>
        <v>49</v>
      </c>
      <c r="H27" s="25">
        <v>57</v>
      </c>
      <c r="I27" s="59">
        <f>17+26</f>
        <v>43</v>
      </c>
      <c r="J27" s="25">
        <v>37</v>
      </c>
      <c r="K27" s="25">
        <v>48</v>
      </c>
      <c r="L27" s="25">
        <v>51</v>
      </c>
      <c r="M27" s="25">
        <v>72</v>
      </c>
      <c r="N27" s="25">
        <v>53</v>
      </c>
      <c r="O27" s="25">
        <v>33</v>
      </c>
      <c r="P27" s="59">
        <f t="shared" si="8"/>
        <v>573</v>
      </c>
      <c r="Q27" s="94">
        <f t="shared" si="9"/>
        <v>1.5698630136986302</v>
      </c>
    </row>
    <row r="28" spans="1:17" s="11" customFormat="1" ht="15" customHeight="1">
      <c r="A28" s="16">
        <v>10</v>
      </c>
      <c r="B28" s="32"/>
      <c r="C28" s="19" t="s">
        <v>19</v>
      </c>
      <c r="D28" s="20">
        <f aca="true" t="shared" si="10" ref="D28:K28">SUM(D29:D30)</f>
        <v>8108</v>
      </c>
      <c r="E28" s="20">
        <f t="shared" si="10"/>
        <v>4778</v>
      </c>
      <c r="F28" s="96">
        <f t="shared" si="10"/>
        <v>6199</v>
      </c>
      <c r="G28" s="20">
        <f t="shared" si="10"/>
        <v>6222</v>
      </c>
      <c r="H28" s="18">
        <f t="shared" si="10"/>
        <v>7345</v>
      </c>
      <c r="I28" s="20">
        <f t="shared" si="10"/>
        <v>5720</v>
      </c>
      <c r="J28" s="18">
        <f t="shared" si="10"/>
        <v>5372</v>
      </c>
      <c r="K28" s="18">
        <f t="shared" si="10"/>
        <v>5625</v>
      </c>
      <c r="L28" s="18">
        <f>SUM(L29:L30)</f>
        <v>6005</v>
      </c>
      <c r="M28" s="18">
        <f>SUM(M29:M30)</f>
        <v>5770</v>
      </c>
      <c r="N28" s="18">
        <f>SUM(N29:N30)</f>
        <v>5826</v>
      </c>
      <c r="O28" s="18">
        <f>SUM(O29:O30)</f>
        <v>5943</v>
      </c>
      <c r="P28" s="20">
        <f t="shared" si="8"/>
        <v>72913</v>
      </c>
      <c r="Q28" s="20">
        <f t="shared" si="9"/>
        <v>199.76164383561644</v>
      </c>
    </row>
    <row r="29" spans="1:17" s="11" customFormat="1" ht="15" customHeight="1">
      <c r="A29" s="9"/>
      <c r="B29" s="29" t="s">
        <v>23</v>
      </c>
      <c r="C29" s="17" t="s">
        <v>17</v>
      </c>
      <c r="D29" s="21">
        <v>830</v>
      </c>
      <c r="E29" s="21">
        <v>822</v>
      </c>
      <c r="F29" s="97">
        <v>854</v>
      </c>
      <c r="G29" s="91">
        <v>828</v>
      </c>
      <c r="H29" s="88">
        <v>804</v>
      </c>
      <c r="I29" s="91">
        <v>781</v>
      </c>
      <c r="J29" s="88">
        <v>875</v>
      </c>
      <c r="K29" s="88">
        <v>817</v>
      </c>
      <c r="L29" s="88">
        <v>857</v>
      </c>
      <c r="M29" s="88">
        <v>802</v>
      </c>
      <c r="N29" s="91">
        <v>736</v>
      </c>
      <c r="O29" s="88">
        <v>778</v>
      </c>
      <c r="P29" s="21">
        <f t="shared" si="8"/>
        <v>9784</v>
      </c>
      <c r="Q29" s="21">
        <f t="shared" si="9"/>
        <v>26.805479452054794</v>
      </c>
    </row>
    <row r="30" spans="1:17" s="11" customFormat="1" ht="15" customHeight="1" thickBot="1">
      <c r="A30" s="10"/>
      <c r="B30" s="30" t="s">
        <v>24</v>
      </c>
      <c r="C30" s="31" t="s">
        <v>18</v>
      </c>
      <c r="D30" s="52">
        <v>7278</v>
      </c>
      <c r="E30" s="52">
        <v>3956</v>
      </c>
      <c r="F30" s="98">
        <v>5345</v>
      </c>
      <c r="G30" s="92">
        <v>5394</v>
      </c>
      <c r="H30" s="89">
        <v>6541</v>
      </c>
      <c r="I30" s="92">
        <v>4939</v>
      </c>
      <c r="J30" s="89">
        <v>4497</v>
      </c>
      <c r="K30" s="89">
        <v>4808</v>
      </c>
      <c r="L30" s="89">
        <v>5148</v>
      </c>
      <c r="M30" s="89">
        <v>4968</v>
      </c>
      <c r="N30" s="92">
        <v>5090</v>
      </c>
      <c r="O30" s="89">
        <v>5165</v>
      </c>
      <c r="P30" s="52">
        <f t="shared" si="8"/>
        <v>63129</v>
      </c>
      <c r="Q30" s="52">
        <f t="shared" si="9"/>
        <v>172.95616438356166</v>
      </c>
    </row>
    <row r="31" spans="1:17" s="3" customFormat="1" ht="18">
      <c r="A31" s="2"/>
      <c r="B31" s="2"/>
      <c r="C31" s="14" t="s">
        <v>37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/>
    </row>
  </sheetData>
  <sheetProtection/>
  <mergeCells count="3">
    <mergeCell ref="A3:B3"/>
    <mergeCell ref="A1:Q1"/>
    <mergeCell ref="A2:Q2"/>
  </mergeCells>
  <printOptions/>
  <pageMargins left="0.25" right="0.25" top="0.2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"/>
    </sheetView>
  </sheetViews>
  <sheetFormatPr defaultColWidth="9.140625" defaultRowHeight="12.75"/>
  <cols>
    <col min="1" max="1" width="6.140625" style="6" bestFit="1" customWidth="1"/>
    <col min="2" max="2" width="47.140625" style="15" bestFit="1" customWidth="1"/>
    <col min="3" max="3" width="8.00390625" style="7" bestFit="1" customWidth="1"/>
    <col min="4" max="4" width="8.57421875" style="7" bestFit="1" customWidth="1"/>
    <col min="5" max="5" width="21.140625" style="0" bestFit="1" customWidth="1"/>
    <col min="6" max="6" width="16.8515625" style="0" bestFit="1" customWidth="1"/>
  </cols>
  <sheetData>
    <row r="1" spans="1:6" s="33" customFormat="1" ht="19.5" customHeight="1">
      <c r="A1" s="113" t="s">
        <v>45</v>
      </c>
      <c r="B1" s="113"/>
      <c r="C1" s="113"/>
      <c r="D1" s="113"/>
      <c r="E1" s="113"/>
      <c r="F1" s="113"/>
    </row>
    <row r="2" spans="1:6" s="33" customFormat="1" ht="19.5" customHeight="1" thickBot="1">
      <c r="A2" s="113" t="s">
        <v>84</v>
      </c>
      <c r="B2" s="113"/>
      <c r="C2" s="113"/>
      <c r="D2" s="113"/>
      <c r="E2" s="113"/>
      <c r="F2" s="113"/>
    </row>
    <row r="3" spans="1:6" s="33" customFormat="1" ht="26.25" thickBot="1">
      <c r="A3" s="26" t="s">
        <v>0</v>
      </c>
      <c r="B3" s="46" t="s">
        <v>1</v>
      </c>
      <c r="C3" s="26" t="s">
        <v>2</v>
      </c>
      <c r="D3" s="56" t="s">
        <v>40</v>
      </c>
      <c r="E3" s="82" t="s">
        <v>67</v>
      </c>
      <c r="F3" s="82" t="s">
        <v>68</v>
      </c>
    </row>
    <row r="4" spans="1:7" s="33" customFormat="1" ht="15" customHeight="1">
      <c r="A4" s="39">
        <v>1</v>
      </c>
      <c r="B4" s="47" t="s">
        <v>3</v>
      </c>
      <c r="C4" s="67">
        <f>'MYH(monthwise)-14'!P4</f>
        <v>532168</v>
      </c>
      <c r="D4" s="42">
        <f>C4/365</f>
        <v>1457.9945205479453</v>
      </c>
      <c r="E4" s="39">
        <f>C4*52/100</f>
        <v>276727.36</v>
      </c>
      <c r="F4" s="39">
        <f>C4*48/100</f>
        <v>255440.64</v>
      </c>
      <c r="G4" s="33" t="s">
        <v>37</v>
      </c>
    </row>
    <row r="5" spans="1:6" s="33" customFormat="1" ht="15" customHeight="1" thickBot="1">
      <c r="A5" s="40" t="s">
        <v>37</v>
      </c>
      <c r="B5" s="48" t="s">
        <v>37</v>
      </c>
      <c r="C5" s="68" t="s">
        <v>37</v>
      </c>
      <c r="D5" s="40" t="s">
        <v>37</v>
      </c>
      <c r="E5" s="44">
        <v>52</v>
      </c>
      <c r="F5" s="44">
        <f>F4*100/C4</f>
        <v>48</v>
      </c>
    </row>
    <row r="6" spans="1:6" s="33" customFormat="1" ht="15" customHeight="1">
      <c r="A6" s="39">
        <v>2</v>
      </c>
      <c r="B6" s="47" t="s">
        <v>5</v>
      </c>
      <c r="C6" s="67">
        <f>'MYH(monthwise)-14'!P8</f>
        <v>80609</v>
      </c>
      <c r="D6" s="42">
        <f>C6/365</f>
        <v>220.84657534246574</v>
      </c>
      <c r="E6" s="39">
        <f>C6*45/100</f>
        <v>36274.05</v>
      </c>
      <c r="F6" s="39">
        <f>C6*55/100</f>
        <v>44334.95</v>
      </c>
    </row>
    <row r="7" spans="1:6" s="33" customFormat="1" ht="15" customHeight="1" thickBot="1">
      <c r="A7" s="40"/>
      <c r="B7" s="48"/>
      <c r="C7" s="68" t="s">
        <v>37</v>
      </c>
      <c r="D7" s="40" t="s">
        <v>37</v>
      </c>
      <c r="E7" s="40">
        <f>E6*100/C6</f>
        <v>45.00000000000001</v>
      </c>
      <c r="F7" s="40">
        <f>F6*100/C6</f>
        <v>55</v>
      </c>
    </row>
    <row r="8" spans="1:6" s="33" customFormat="1" ht="15" customHeight="1" thickBot="1">
      <c r="A8" s="41">
        <v>3</v>
      </c>
      <c r="B8" s="49" t="s">
        <v>36</v>
      </c>
      <c r="C8" s="41">
        <f>'MYH(monthwise)-14'!P9</f>
        <v>2726</v>
      </c>
      <c r="D8" s="26">
        <f>C8/365</f>
        <v>7.468493150684932</v>
      </c>
      <c r="E8" s="83"/>
      <c r="F8" s="84"/>
    </row>
    <row r="9" spans="1:6" s="33" customFormat="1" ht="15" customHeight="1" thickBot="1">
      <c r="A9" s="41">
        <v>4</v>
      </c>
      <c r="B9" s="49" t="s">
        <v>13</v>
      </c>
      <c r="C9" s="41">
        <f>'MYH(monthwise)-14'!P10</f>
        <v>1521</v>
      </c>
      <c r="D9" s="56">
        <f>C9/12</f>
        <v>126.75</v>
      </c>
      <c r="E9" s="80"/>
      <c r="F9" s="81"/>
    </row>
    <row r="10" spans="1:6" s="33" customFormat="1" ht="15" customHeight="1">
      <c r="A10" s="42">
        <v>5</v>
      </c>
      <c r="B10" s="50" t="s">
        <v>42</v>
      </c>
      <c r="C10" s="64">
        <f>'MYH(monthwise)-14'!P11</f>
        <v>1471988</v>
      </c>
      <c r="D10" s="42">
        <f aca="true" t="shared" si="0" ref="D10:D29">C10/365</f>
        <v>4032.8438356164384</v>
      </c>
      <c r="E10" s="80"/>
      <c r="F10" s="81"/>
    </row>
    <row r="11" spans="1:6" s="33" customFormat="1" ht="15" customHeight="1">
      <c r="A11" s="43" t="s">
        <v>37</v>
      </c>
      <c r="B11" s="51" t="s">
        <v>51</v>
      </c>
      <c r="C11" s="69">
        <f>'MYH(monthwise)-14'!P12</f>
        <v>544508</v>
      </c>
      <c r="D11" s="43">
        <f t="shared" si="0"/>
        <v>1491.8027397260273</v>
      </c>
      <c r="E11" s="34"/>
      <c r="F11" s="37"/>
    </row>
    <row r="12" spans="1:6" s="33" customFormat="1" ht="15" customHeight="1">
      <c r="A12" s="43" t="s">
        <v>37</v>
      </c>
      <c r="B12" s="51" t="s">
        <v>52</v>
      </c>
      <c r="C12" s="69">
        <f>'MYH(monthwise)-14'!P13</f>
        <v>139822</v>
      </c>
      <c r="D12" s="43">
        <f t="shared" si="0"/>
        <v>383.07397260273973</v>
      </c>
      <c r="E12" s="34"/>
      <c r="F12" s="37"/>
    </row>
    <row r="13" spans="1:6" s="33" customFormat="1" ht="15" customHeight="1">
      <c r="A13" s="43" t="s">
        <v>37</v>
      </c>
      <c r="B13" s="51" t="s">
        <v>53</v>
      </c>
      <c r="C13" s="69">
        <f>'MYH(monthwise)-14'!P14</f>
        <v>693959</v>
      </c>
      <c r="D13" s="43">
        <f t="shared" si="0"/>
        <v>1901.2575342465752</v>
      </c>
      <c r="E13" s="34"/>
      <c r="F13" s="37"/>
    </row>
    <row r="14" spans="1:6" s="33" customFormat="1" ht="15" customHeight="1" thickBot="1">
      <c r="A14" s="40" t="s">
        <v>37</v>
      </c>
      <c r="B14" s="48" t="s">
        <v>54</v>
      </c>
      <c r="C14" s="69">
        <f>'MYH(monthwise)-14'!P15</f>
        <v>93699</v>
      </c>
      <c r="D14" s="43">
        <f t="shared" si="0"/>
        <v>256.7095890410959</v>
      </c>
      <c r="E14" s="34"/>
      <c r="F14" s="37"/>
    </row>
    <row r="15" spans="1:6" s="33" customFormat="1" ht="15" customHeight="1">
      <c r="A15" s="42">
        <v>6</v>
      </c>
      <c r="B15" s="50" t="s">
        <v>41</v>
      </c>
      <c r="C15" s="64">
        <f>'MYH(monthwise)-14'!P16</f>
        <v>196329</v>
      </c>
      <c r="D15" s="42">
        <f t="shared" si="0"/>
        <v>537.8876712328768</v>
      </c>
      <c r="E15" s="80"/>
      <c r="F15" s="81"/>
    </row>
    <row r="16" spans="1:6" s="33" customFormat="1" ht="15" customHeight="1">
      <c r="A16" s="43"/>
      <c r="B16" s="51" t="s">
        <v>55</v>
      </c>
      <c r="C16" s="69">
        <f>'MYH(monthwise)-14'!P17</f>
        <v>80249</v>
      </c>
      <c r="D16" s="43">
        <f t="shared" si="0"/>
        <v>219.86027397260273</v>
      </c>
      <c r="E16" s="34"/>
      <c r="F16" s="37"/>
    </row>
    <row r="17" spans="1:7" s="33" customFormat="1" ht="15" customHeight="1">
      <c r="A17" s="43"/>
      <c r="B17" s="51" t="s">
        <v>56</v>
      </c>
      <c r="C17" s="69">
        <f>'MYH(monthwise)-14'!P18</f>
        <v>55235</v>
      </c>
      <c r="D17" s="43">
        <f t="shared" si="0"/>
        <v>151.32876712328766</v>
      </c>
      <c r="E17" s="34"/>
      <c r="F17" s="37"/>
      <c r="G17" s="33" t="s">
        <v>37</v>
      </c>
    </row>
    <row r="18" spans="1:6" s="33" customFormat="1" ht="15" customHeight="1">
      <c r="A18" s="43"/>
      <c r="B18" s="51" t="s">
        <v>57</v>
      </c>
      <c r="C18" s="69">
        <f>'MYH(monthwise)-14'!P19</f>
        <v>45824</v>
      </c>
      <c r="D18" s="43">
        <f t="shared" si="0"/>
        <v>125.54520547945205</v>
      </c>
      <c r="E18" s="34"/>
      <c r="F18" s="37"/>
    </row>
    <row r="19" spans="1:6" s="33" customFormat="1" ht="15" customHeight="1">
      <c r="A19" s="43"/>
      <c r="B19" s="51" t="s">
        <v>58</v>
      </c>
      <c r="C19" s="69">
        <f>'MYH(monthwise)-14'!P20</f>
        <v>9895</v>
      </c>
      <c r="D19" s="43">
        <f t="shared" si="0"/>
        <v>27.10958904109589</v>
      </c>
      <c r="E19" s="80"/>
      <c r="F19" s="37"/>
    </row>
    <row r="20" spans="1:6" s="33" customFormat="1" ht="15" customHeight="1" thickBot="1">
      <c r="A20" s="40"/>
      <c r="B20" s="48" t="s">
        <v>59</v>
      </c>
      <c r="C20" s="70">
        <f>'MYH(monthwise)-14'!P21</f>
        <v>5126</v>
      </c>
      <c r="D20" s="43">
        <f t="shared" si="0"/>
        <v>14.043835616438356</v>
      </c>
      <c r="E20" s="34"/>
      <c r="F20" s="37"/>
    </row>
    <row r="21" spans="1:6" s="33" customFormat="1" ht="15" customHeight="1">
      <c r="A21" s="39"/>
      <c r="B21" s="53" t="s">
        <v>60</v>
      </c>
      <c r="C21" s="67">
        <f>'MYH(monthwise)-14'!P25</f>
        <v>5367</v>
      </c>
      <c r="D21" s="39">
        <f t="shared" si="0"/>
        <v>14.704109589041096</v>
      </c>
      <c r="E21" s="85"/>
      <c r="F21" s="37"/>
    </row>
    <row r="22" spans="1:6" s="33" customFormat="1" ht="15" customHeight="1">
      <c r="A22" s="43"/>
      <c r="B22" s="54" t="s">
        <v>61</v>
      </c>
      <c r="C22" s="69">
        <f>'MYH(monthwise)-14'!P26</f>
        <v>5814</v>
      </c>
      <c r="D22" s="43">
        <f t="shared" si="0"/>
        <v>15.92876712328767</v>
      </c>
      <c r="E22" s="85"/>
      <c r="F22" s="37"/>
    </row>
    <row r="23" spans="1:6" s="33" customFormat="1" ht="15" customHeight="1" thickBot="1">
      <c r="A23" s="45">
        <v>7</v>
      </c>
      <c r="B23" s="55" t="s">
        <v>43</v>
      </c>
      <c r="C23" s="71">
        <f>SUM(C21:C22)</f>
        <v>11181</v>
      </c>
      <c r="D23" s="45">
        <f t="shared" si="0"/>
        <v>30.632876712328766</v>
      </c>
      <c r="E23" s="85"/>
      <c r="F23" s="37"/>
    </row>
    <row r="24" spans="1:6" s="33" customFormat="1" ht="15" customHeight="1">
      <c r="A24" s="39"/>
      <c r="B24" s="47" t="s">
        <v>62</v>
      </c>
      <c r="C24" s="72">
        <f>'MYH(monthwise)-14'!P29</f>
        <v>9784</v>
      </c>
      <c r="D24" s="106">
        <f t="shared" si="0"/>
        <v>26.805479452054794</v>
      </c>
      <c r="E24" s="34"/>
      <c r="F24" s="37"/>
    </row>
    <row r="25" spans="1:6" s="33" customFormat="1" ht="15" customHeight="1">
      <c r="A25" s="43"/>
      <c r="B25" s="51" t="s">
        <v>63</v>
      </c>
      <c r="C25" s="72">
        <f>'MYH(monthwise)-14'!P30</f>
        <v>63129</v>
      </c>
      <c r="D25" s="106">
        <f t="shared" si="0"/>
        <v>172.95616438356166</v>
      </c>
      <c r="E25" s="34"/>
      <c r="F25" s="37"/>
    </row>
    <row r="26" spans="1:6" s="33" customFormat="1" ht="15" customHeight="1" thickBot="1">
      <c r="A26" s="73">
        <v>8</v>
      </c>
      <c r="B26" s="74" t="s">
        <v>44</v>
      </c>
      <c r="C26" s="75">
        <f>SUM(C24:C25)</f>
        <v>72913</v>
      </c>
      <c r="D26" s="107">
        <f t="shared" si="0"/>
        <v>199.76164383561644</v>
      </c>
      <c r="E26" s="35"/>
      <c r="F26" s="36"/>
    </row>
    <row r="27" spans="1:6" s="33" customFormat="1" ht="15" customHeight="1" thickBot="1">
      <c r="A27" s="38">
        <v>9</v>
      </c>
      <c r="B27" s="66" t="s">
        <v>38</v>
      </c>
      <c r="C27" s="42">
        <v>88795</v>
      </c>
      <c r="D27" s="42">
        <f t="shared" si="0"/>
        <v>243.27397260273972</v>
      </c>
      <c r="E27" s="78" t="s">
        <v>64</v>
      </c>
      <c r="F27" s="79" t="s">
        <v>39</v>
      </c>
    </row>
    <row r="28" spans="1:6" s="33" customFormat="1" ht="15" customHeight="1">
      <c r="A28" s="34"/>
      <c r="B28" s="76" t="s">
        <v>69</v>
      </c>
      <c r="C28" s="43">
        <v>11070</v>
      </c>
      <c r="D28" s="43">
        <f t="shared" si="0"/>
        <v>30.328767123287673</v>
      </c>
      <c r="E28" s="101" t="s">
        <v>82</v>
      </c>
      <c r="F28" s="105" t="s">
        <v>80</v>
      </c>
    </row>
    <row r="29" spans="1:6" s="33" customFormat="1" ht="15" customHeight="1" thickBot="1">
      <c r="A29" s="35"/>
      <c r="B29" s="77" t="s">
        <v>70</v>
      </c>
      <c r="C29" s="40">
        <v>5643</v>
      </c>
      <c r="D29" s="40">
        <f t="shared" si="0"/>
        <v>15.46027397260274</v>
      </c>
      <c r="E29" s="102" t="s">
        <v>83</v>
      </c>
      <c r="F29" s="104" t="s">
        <v>75</v>
      </c>
    </row>
  </sheetData>
  <sheetProtection/>
  <mergeCells count="2">
    <mergeCell ref="A1:F1"/>
    <mergeCell ref="A2:F2"/>
  </mergeCells>
  <printOptions/>
  <pageMargins left="1.2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myh1</cp:lastModifiedBy>
  <cp:lastPrinted>2015-01-13T06:46:45Z</cp:lastPrinted>
  <dcterms:created xsi:type="dcterms:W3CDTF">1996-10-14T23:33:28Z</dcterms:created>
  <dcterms:modified xsi:type="dcterms:W3CDTF">2015-01-22T06:38:27Z</dcterms:modified>
  <cp:category/>
  <cp:version/>
  <cp:contentType/>
  <cp:contentStatus/>
</cp:coreProperties>
</file>